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sheet8.xml" ContentType="application/vnd.openxmlformats-officedocument.spreadsheetml.worksheet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_rels/pivotTable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charts/chart1.xml" ContentType="application/vnd.openxmlformats-officedocument.drawingml.chart+xml"/>
  <Override PartName="/xl/pivotCache/pivotCacheDefinition1.xml" ContentType="application/vnd.openxmlformats-officedocument.spreadsheetml.pivotCacheDefinition+xml"/>
  <Override PartName="/xl/pivotCache/_rels/pivotCacheDefinition1.xml.rels" ContentType="application/vnd.openxmlformats-package.relationships+xml"/>
  <Override PartName="/xl/pivotCache/pivotCacheRecords1.xml" ContentType="application/vnd.openxmlformats-officedocument.spreadsheetml.pivotCacheRecord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ход_расход" sheetId="1" state="visible" r:id="rId2"/>
    <sheet name="Финансовые результаты" sheetId="2" state="visible" r:id="rId3"/>
    <sheet name="Сводка по годам" sheetId="3" state="visible" r:id="rId4"/>
    <sheet name="Портфель" sheetId="4" state="visible" r:id="rId5"/>
    <sheet name="СЧА" sheetId="5" state="visible" r:id="rId6"/>
    <sheet name="Дивиденды" sheetId="6" state="visible" r:id="rId7"/>
    <sheet name="ОФЗ-26214" sheetId="7" state="visible" r:id="rId8"/>
    <sheet name="HYDR" sheetId="8" state="visible" r:id="rId9"/>
  </sheets>
  <calcPr iterateCount="100" refMode="A1" iterate="false" iterateDelta="0.001"/>
  <pivotCaches>
    <pivotCache cacheId="1" r:id="rId11"/>
  </pivotCaches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<sst xmlns="http://schemas.openxmlformats.org/spreadsheetml/2006/main" count="116" uniqueCount="80">
  <si>
    <t xml:space="preserve">Зачислил, Всего</t>
  </si>
  <si>
    <t xml:space="preserve">Отозвал, Всего</t>
  </si>
  <si>
    <t xml:space="preserve">Сальдо</t>
  </si>
  <si>
    <t xml:space="preserve">Расчет доходности</t>
  </si>
  <si>
    <t xml:space="preserve">Дата</t>
  </si>
  <si>
    <t xml:space="preserve">Зачисление</t>
  </si>
  <si>
    <t xml:space="preserve">Отзыв</t>
  </si>
  <si>
    <t xml:space="preserve">Даты</t>
  </si>
  <si>
    <t xml:space="preserve">Поток платежей</t>
  </si>
  <si>
    <t xml:space="preserve">Операция</t>
  </si>
  <si>
    <t xml:space="preserve">Результат</t>
  </si>
  <si>
    <t xml:space="preserve">ГМК-див</t>
  </si>
  <si>
    <t xml:space="preserve">ММК-див</t>
  </si>
  <si>
    <t xml:space="preserve">МТС-див</t>
  </si>
  <si>
    <t xml:space="preserve">Татнефть ап-див</t>
  </si>
  <si>
    <t xml:space="preserve">Лукойл-див</t>
  </si>
  <si>
    <t xml:space="preserve">Фосагро-див</t>
  </si>
  <si>
    <t xml:space="preserve">Газпром-див</t>
  </si>
  <si>
    <t xml:space="preserve">Трансконтейнер-див</t>
  </si>
  <si>
    <t xml:space="preserve">Сумма - Результат</t>
  </si>
  <si>
    <t xml:space="preserve">2019</t>
  </si>
  <si>
    <t xml:space="preserve">Итог Результат</t>
  </si>
  <si>
    <t xml:space="preserve">Акция</t>
  </si>
  <si>
    <t xml:space="preserve">Количество</t>
  </si>
  <si>
    <t xml:space="preserve">%  УК</t>
  </si>
  <si>
    <t xml:space="preserve">Стоимость</t>
  </si>
  <si>
    <t xml:space="preserve">Доля в портфеле</t>
  </si>
  <si>
    <t xml:space="preserve">Газпром</t>
  </si>
  <si>
    <t xml:space="preserve">Мосбиржа</t>
  </si>
  <si>
    <t xml:space="preserve">Норникель</t>
  </si>
  <si>
    <t xml:space="preserve">Татнефть, пр.</t>
  </si>
  <si>
    <t xml:space="preserve">МТС</t>
  </si>
  <si>
    <t xml:space="preserve">Фосагро</t>
  </si>
  <si>
    <t xml:space="preserve">ММК</t>
  </si>
  <si>
    <t xml:space="preserve">Сбербанк, об.</t>
  </si>
  <si>
    <t xml:space="preserve">Лукойл</t>
  </si>
  <si>
    <t xml:space="preserve">Деньги</t>
  </si>
  <si>
    <t xml:space="preserve">Индекс Мосбиржи</t>
  </si>
  <si>
    <t xml:space="preserve">Год</t>
  </si>
  <si>
    <t xml:space="preserve">СЧА на начало года</t>
  </si>
  <si>
    <t xml:space="preserve">СЧА на конец года</t>
  </si>
  <si>
    <t xml:space="preserve">Внесено за год</t>
  </si>
  <si>
    <t xml:space="preserve">Выведено за год</t>
  </si>
  <si>
    <t xml:space="preserve">Результат управления</t>
  </si>
  <si>
    <t xml:space="preserve">Прирост капитала</t>
  </si>
  <si>
    <t xml:space="preserve">Чистая доходность</t>
  </si>
  <si>
    <t xml:space="preserve">Открытие</t>
  </si>
  <si>
    <t xml:space="preserve">Закрытие</t>
  </si>
  <si>
    <t xml:space="preserve">Изменение</t>
  </si>
  <si>
    <t xml:space="preserve">Тикер</t>
  </si>
  <si>
    <t xml:space="preserve">Количество акций на руках</t>
  </si>
  <si>
    <t xml:space="preserve">Объявленный дивиденд на акцию</t>
  </si>
  <si>
    <t xml:space="preserve">Размер дивидендов</t>
  </si>
  <si>
    <t xml:space="preserve">За вычетом НДФЛ</t>
  </si>
  <si>
    <t xml:space="preserve">Всего</t>
  </si>
  <si>
    <t xml:space="preserve">За 2019 год</t>
  </si>
  <si>
    <t xml:space="preserve">MTSS, 6M</t>
  </si>
  <si>
    <t xml:space="preserve">MTSS, 9M</t>
  </si>
  <si>
    <t xml:space="preserve">MTSS, Y</t>
  </si>
  <si>
    <t xml:space="preserve">LKOH, 9M</t>
  </si>
  <si>
    <t xml:space="preserve">LKOH, Y</t>
  </si>
  <si>
    <t xml:space="preserve">GAZP</t>
  </si>
  <si>
    <t xml:space="preserve">Общая сумма покупки</t>
  </si>
  <si>
    <t xml:space="preserve">Общая сумма продажи</t>
  </si>
  <si>
    <t xml:space="preserve">Получено купонами</t>
  </si>
  <si>
    <t xml:space="preserve">Сальдо с учётом купонов</t>
  </si>
  <si>
    <t xml:space="preserve">Покупка</t>
  </si>
  <si>
    <t xml:space="preserve">Продажа</t>
  </si>
  <si>
    <t xml:space="preserve">Купоны</t>
  </si>
  <si>
    <t xml:space="preserve">Цена</t>
  </si>
  <si>
    <t xml:space="preserve">Номинал</t>
  </si>
  <si>
    <t xml:space="preserve">НКД</t>
  </si>
  <si>
    <t xml:space="preserve">Комиссия</t>
  </si>
  <si>
    <t xml:space="preserve">Сумма</t>
  </si>
  <si>
    <t xml:space="preserve">Цена безубытка</t>
  </si>
  <si>
    <t xml:space="preserve">С учётом дивидендов</t>
  </si>
  <si>
    <t xml:space="preserve">Получено дивидендов</t>
  </si>
  <si>
    <t xml:space="preserve">Количество ц\б</t>
  </si>
  <si>
    <t xml:space="preserve">Сальдо с учётом дивидендов</t>
  </si>
  <si>
    <t xml:space="preserve">Дивиденды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</si>
</sst>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[$-419]#,##0.00[$руб.-419];[RED]\-#,##0.00[$руб.-419]"/>
    <numFmt numFmtId="166" formatCode="#,##0\ [$руб.-419];[RED]\-#,##0\ [$руб.-419]"/>
    <numFmt numFmtId="167" formatCode="[$-419]#,##0.00\ [$руб.-419];[RED]\-#,##0.00\ [$руб.-419]"/>
    <numFmt numFmtId="168" formatCode="DD/MM/YY"/>
    <numFmt numFmtId="169" formatCode="0.00%"/>
    <numFmt numFmtId="170" formatCode="#,##0;[RED]\-#,##0"/>
    <numFmt numFmtId="171" formatCode="#,##0"/>
    <numFmt numFmtId="172" formatCode="0.000000%"/>
    <numFmt numFmtId="173" formatCode="#,##0.00\ [$руб.-419];[RED]\-#,##0.00\ [$руб.-419]"/>
    <numFmt numFmtId="174" formatCode="0%"/>
    <numFmt numFmtId="175" formatCode="#,##0.000000\ [$руб.-419];[RED]\-#,##0.000000\ [$руб.-419]"/>
    <numFmt numFmtId="176" formatCode="0.0000"/>
    <numFmt numFmtId="177" formatCode="#,##0.00"/>
  </numFmts>
  <fonts count="12">
    <font>
      <sz val="11"/>
      <color rgb="FF00000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i val="true"/>
      <u val="single"/>
      <sz val="11"/>
      <color rgb="FF000000"/>
      <name val="Arial"/>
      <family val="0"/>
      <charset val="204"/>
    </font>
    <font>
      <b val="true"/>
      <i val="true"/>
      <sz val="16"/>
      <color rgb="FF000000"/>
      <name val="Arial"/>
      <family val="0"/>
      <charset val="204"/>
    </font>
    <font>
      <b val="true"/>
      <sz val="11"/>
      <color rgb="FF000000"/>
      <name val="Arial"/>
      <family val="0"/>
      <charset val="204"/>
    </font>
    <font>
      <b val="true"/>
      <shadow val="true"/>
      <sz val="10"/>
      <color rgb="FFFFFFFF"/>
      <name val="Arial"/>
      <family val="2"/>
    </font>
    <font>
      <sz val="10"/>
      <name val="Arial"/>
      <family val="2"/>
    </font>
    <font>
      <sz val="11"/>
      <color rgb="FF000000"/>
      <name val="Arial"/>
      <family val="2"/>
      <charset val="204"/>
    </font>
    <font>
      <b val="true"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 style="medium"/>
      <bottom/>
      <diagonal/>
    </border>
  </borders>
  <cellStyleXfs count="3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4" fontId="6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left" vertical="bottom" textRotation="0" wrapText="false" indent="0" shrinkToFit="false"/>
    </xf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29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4" xfId="26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70" fontId="0" fillId="0" borderId="5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6" xfId="3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70" fontId="6" fillId="0" borderId="7" xfId="28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2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71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73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75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right" vertical="bottom" textRotation="0" wrapText="true" indent="0" shrinkToFit="false"/>
      <protection locked="true" hidden="false"/>
    </xf>
    <xf numFmtId="173" fontId="0" fillId="0" borderId="0" xfId="0" applyFont="false" applyBorder="false" applyAlignment="true" applyProtection="false">
      <alignment horizontal="right" vertical="bottom" textRotation="0" wrapText="true" indent="0" shrinkToFit="false"/>
      <protection locked="true" hidden="false"/>
    </xf>
    <xf numFmtId="173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3" fontId="1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3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3" fontId="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7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1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6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7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7" fontId="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1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Результат" xfId="20"/>
    <cellStyle name="Результат2" xfId="21"/>
    <cellStyle name="Заголовок" xfId="22"/>
    <cellStyle name="Заголовок1" xfId="23"/>
    <cellStyle name="Заголовок сводной таблицы" xfId="24"/>
    <cellStyle name="Значение сводной таблицы" xfId="25"/>
    <cellStyle name="Категория сводной таблицы" xfId="26"/>
    <cellStyle name="Поле сводной таблицы" xfId="27"/>
    <cellStyle name="Результат сводной таблицы" xfId="28"/>
    <cellStyle name="Угол сводной таблицы" xfId="29"/>
    <cellStyle name="Заглавие сводной таблицы" xfId="3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AECF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14004"/>
      <rgbColor rgb="FF993300"/>
      <rgbColor rgb="FF993366"/>
      <rgbColor rgb="FF4B1F6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<Relationship Id="rId11" Type="http://schemas.openxmlformats.org/officeDocument/2006/relationships/pivotCacheDefinition" Target="pivotCache/pivotCacheDefinition1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pie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spPr>
              <a:solidFill>
                <a:srgbClr val="314004"/>
              </a:solidFill>
              <a:ln>
                <a:noFill/>
              </a:ln>
            </c:spPr>
          </c:dPt>
          <c:dPt>
            <c:idx val="7"/>
            <c:spPr>
              <a:solidFill>
                <a:srgbClr val="aecf00"/>
              </a:solidFill>
              <a:ln>
                <a:noFill/>
              </a:ln>
            </c:spPr>
          </c:dPt>
          <c:dPt>
            <c:idx val="8"/>
            <c:spPr>
              <a:solidFill>
                <a:srgbClr val="4b1f6f"/>
              </a:solidFill>
              <a:ln>
                <a:noFill/>
              </a:ln>
            </c:spPr>
          </c:dPt>
          <c:dLbls>
            <c:numFmt formatCode="0.00%" sourceLinked="1"/>
            <c:dLbl>
              <c:idx val="0"/>
              <c:numFmt formatCode="0.00%" sourceLinked="1"/>
              <c:txPr>
                <a:bodyPr/>
                <a:lstStyle/>
                <a:p>
                  <a:pPr>
                    <a:defRPr b="1" sz="1000" spc="-1" strike="noStrike">
                      <a:solidFill>
                        <a:srgbClr val="ffffff"/>
                      </a:solidFill>
                      <a:latin typeface="Arial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 </c:separator>
            </c:dLbl>
            <c:dLbl>
              <c:idx val="1"/>
              <c:numFmt formatCode="0.00%" sourceLinked="1"/>
              <c:txPr>
                <a:bodyPr/>
                <a:lstStyle/>
                <a:p>
                  <a:pPr>
                    <a:defRPr b="1" sz="1000" spc="-1" strike="noStrike">
                      <a:solidFill>
                        <a:srgbClr val="ffffff"/>
                      </a:solidFill>
                      <a:latin typeface="Arial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 </c:separator>
            </c:dLbl>
            <c:dLbl>
              <c:idx val="2"/>
              <c:numFmt formatCode="0.00%" sourceLinked="1"/>
              <c:txPr>
                <a:bodyPr/>
                <a:lstStyle/>
                <a:p>
                  <a:pPr>
                    <a:defRPr b="1" sz="1000" spc="-1" strike="noStrike">
                      <a:solidFill>
                        <a:srgbClr val="ffffff"/>
                      </a:solidFill>
                      <a:latin typeface="Arial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 </c:separator>
            </c:dLbl>
            <c:dLbl>
              <c:idx val="3"/>
              <c:numFmt formatCode="0.00%" sourceLinked="1"/>
              <c:txPr>
                <a:bodyPr/>
                <a:lstStyle/>
                <a:p>
                  <a:pPr>
                    <a:defRPr b="1" sz="1000" spc="-1" strike="noStrike">
                      <a:solidFill>
                        <a:srgbClr val="ffffff"/>
                      </a:solidFill>
                      <a:latin typeface="Arial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 </c:separator>
            </c:dLbl>
            <c:dLbl>
              <c:idx val="4"/>
              <c:numFmt formatCode="0.00%" sourceLinked="1"/>
              <c:txPr>
                <a:bodyPr/>
                <a:lstStyle/>
                <a:p>
                  <a:pPr>
                    <a:defRPr b="1" sz="1000" spc="-1" strike="noStrike">
                      <a:solidFill>
                        <a:srgbClr val="ffffff"/>
                      </a:solidFill>
                      <a:latin typeface="Arial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 </c:separator>
            </c:dLbl>
            <c:dLbl>
              <c:idx val="5"/>
              <c:numFmt formatCode="0.00%" sourceLinked="1"/>
              <c:txPr>
                <a:bodyPr/>
                <a:lstStyle/>
                <a:p>
                  <a:pPr>
                    <a:defRPr b="1" sz="1000" spc="-1" strike="noStrike">
                      <a:solidFill>
                        <a:srgbClr val="ffffff"/>
                      </a:solidFill>
                      <a:latin typeface="Arial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 </c:separator>
            </c:dLbl>
            <c:dLbl>
              <c:idx val="6"/>
              <c:numFmt formatCode="0.00%" sourceLinked="1"/>
              <c:txPr>
                <a:bodyPr/>
                <a:lstStyle/>
                <a:p>
                  <a:pPr>
                    <a:defRPr b="1" sz="1000" spc="-1" strike="noStrike">
                      <a:solidFill>
                        <a:srgbClr val="ffffff"/>
                      </a:solidFill>
                      <a:latin typeface="Arial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 </c:separator>
            </c:dLbl>
            <c:dLbl>
              <c:idx val="7"/>
              <c:numFmt formatCode="0.00%" sourceLinked="1"/>
              <c:txPr>
                <a:bodyPr/>
                <a:lstStyle/>
                <a:p>
                  <a:pPr>
                    <a:defRPr b="1" sz="1000" spc="-1" strike="noStrike">
                      <a:solidFill>
                        <a:srgbClr val="ffffff"/>
                      </a:solidFill>
                      <a:latin typeface="Arial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 </c:separator>
            </c:dLbl>
            <c:dLbl>
              <c:idx val="8"/>
              <c:numFmt formatCode="0.00%" sourceLinked="1"/>
              <c:txPr>
                <a:bodyPr/>
                <a:lstStyle/>
                <a:p>
                  <a:pPr>
                    <a:defRPr b="1" sz="1000" spc="-1" strike="noStrike">
                      <a:solidFill>
                        <a:srgbClr val="ffffff"/>
                      </a:solidFill>
                      <a:latin typeface="Arial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 </c:separator>
            </c:dLbl>
            <c:txPr>
              <a:bodyPr/>
              <a:lstStyle/>
              <a:p>
                <a:pPr>
                  <a:defRPr b="1" sz="1000" spc="-1" strike="noStrike">
                    <a:solidFill>
                      <a:srgbClr val="ffffff"/>
                    </a:solidFill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 </c:separator>
            <c:showLeaderLines val="0"/>
          </c:dLbls>
          <c:cat>
            <c:strRef>
              <c:f>Портфель!$A$3:$A$11</c:f>
              <c:strCache>
                <c:ptCount val="9"/>
                <c:pt idx="0">
                  <c:v>Газпром</c:v>
                </c:pt>
                <c:pt idx="1">
                  <c:v>Мосбиржа</c:v>
                </c:pt>
                <c:pt idx="2">
                  <c:v>Норникель</c:v>
                </c:pt>
                <c:pt idx="3">
                  <c:v>Татнефть, пр.</c:v>
                </c:pt>
                <c:pt idx="4">
                  <c:v>МТС</c:v>
                </c:pt>
                <c:pt idx="5">
                  <c:v>Фосагро</c:v>
                </c:pt>
                <c:pt idx="6">
                  <c:v>ММК</c:v>
                </c:pt>
                <c:pt idx="7">
                  <c:v>Сбербанк, об.</c:v>
                </c:pt>
                <c:pt idx="8">
                  <c:v>Лукойл</c:v>
                </c:pt>
              </c:strCache>
            </c:strRef>
          </c:cat>
          <c:val>
            <c:numRef>
              <c:f>Портфель!$E$3:$E$11</c:f>
              <c:numCache>
                <c:formatCode>General</c:formatCode>
                <c:ptCount val="9"/>
                <c:pt idx="0">
                  <c:v>0.0141237667147259</c:v>
                </c:pt>
                <c:pt idx="1">
                  <c:v>0.0291182540355638</c:v>
                </c:pt>
                <c:pt idx="2">
                  <c:v>0.19223701693382</c:v>
                </c:pt>
                <c:pt idx="3">
                  <c:v>0.105164956322619</c:v>
                </c:pt>
                <c:pt idx="4">
                  <c:v>0.0305317615130184</c:v>
                </c:pt>
                <c:pt idx="5">
                  <c:v>0.0424052243236367</c:v>
                </c:pt>
                <c:pt idx="6">
                  <c:v>0.0429706273146185</c:v>
                </c:pt>
                <c:pt idx="7">
                  <c:v>0.135696717835637</c:v>
                </c:pt>
                <c:pt idx="8">
                  <c:v>0.124388658016001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1204920</xdr:colOff>
      <xdr:row>1</xdr:row>
      <xdr:rowOff>10800</xdr:rowOff>
    </xdr:from>
    <xdr:to>
      <xdr:col>10</xdr:col>
      <xdr:colOff>238680</xdr:colOff>
      <xdr:row>13</xdr:row>
      <xdr:rowOff>87480</xdr:rowOff>
    </xdr:to>
    <xdr:graphicFrame>
      <xdr:nvGraphicFramePr>
        <xdr:cNvPr id="0" name=""/>
        <xdr:cNvGraphicFramePr/>
      </xdr:nvGraphicFramePr>
      <xdr:xfrm>
        <a:off x="5927400" y="185760"/>
        <a:ext cx="4514400" cy="2179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13" createdVersion="3">
  <cacheSource type="worksheet">
    <worksheetSource ref="A1:C14" sheet="Финансовые результаты"/>
  </cacheSource>
  <cacheFields count="3">
    <cacheField name="Дата" numFmtId="0">
      <sharedItems containsSemiMixedTypes="0" containsNonDate="0" containsDate="1" containsString="0" minDate="2019-07-05T00:00:00" maxDate="2019-11-01T00:00:00" count="11">
        <d v="2019-07-05T00:00:00"/>
        <d v="2019-07-08T00:00:00"/>
        <d v="2019-07-23T00:00:00"/>
        <d v="2019-07-24T00:00:00"/>
        <d v="2019-07-26T00:00:00"/>
        <d v="2019-08-07T00:00:00"/>
        <d v="2019-10-17T00:00:00"/>
        <d v="2019-10-18T00:00:00"/>
        <d v="2019-10-28T00:00:00"/>
        <d v="2019-10-29T00:00:00"/>
        <d v="2019-11-01T00:00:00"/>
      </sharedItems>
      <fieldGroup base="0">
        <rangePr groupBy="years" startDate="2019-07-05T00:00:00" endDate="2019-11-02T00:00:00"/>
        <groupItems count="3">
          <s v="&lt;05.07.2019"/>
          <s v="2019"/>
          <s v="&gt;02.11.2019"/>
        </groupItems>
      </fieldGroup>
    </cacheField>
    <cacheField name="Операция" numFmtId="0">
      <sharedItems count="8">
        <s v="Газпром-див"/>
        <s v="ГМК-див"/>
        <s v="Лукойл-див"/>
        <s v="ММК-див"/>
        <s v="МТС-див"/>
        <s v="Татнефть ап-див"/>
        <s v="Трансконтейнер-див"/>
        <s v="Фосагро-див"/>
      </sharedItems>
    </cacheField>
    <cacheField name="Результат" numFmtId="0">
      <sharedItems containsSemiMixedTypes="0" containsString="0" containsNumber="1" containsInteger="1" minValue="350" maxValue="8837" count="13">
        <n v="350"/>
        <n v="1561"/>
        <n v="2463"/>
        <n v="2631"/>
        <n v="2823"/>
        <n v="3020"/>
        <n v="3366"/>
        <n v="4826"/>
        <n v="5070"/>
        <n v="5383"/>
        <n v="6281"/>
        <n v="6858"/>
        <n v="883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">
  <r>
    <x v="0"/>
    <x v="1"/>
    <x v="7"/>
  </r>
  <r>
    <x v="1"/>
    <x v="3"/>
    <x v="6"/>
  </r>
  <r>
    <x v="2"/>
    <x v="4"/>
    <x v="11"/>
  </r>
  <r>
    <x v="3"/>
    <x v="5"/>
    <x v="8"/>
  </r>
  <r>
    <x v="3"/>
    <x v="2"/>
    <x v="2"/>
  </r>
  <r>
    <x v="4"/>
    <x v="7"/>
    <x v="3"/>
  </r>
  <r>
    <x v="5"/>
    <x v="0"/>
    <x v="12"/>
  </r>
  <r>
    <x v="6"/>
    <x v="6"/>
    <x v="4"/>
  </r>
  <r>
    <x v="6"/>
    <x v="5"/>
    <x v="10"/>
  </r>
  <r>
    <x v="7"/>
    <x v="1"/>
    <x v="9"/>
  </r>
  <r>
    <x v="8"/>
    <x v="4"/>
    <x v="5"/>
  </r>
  <r>
    <x v="9"/>
    <x v="3"/>
    <x v="1"/>
  </r>
  <r>
    <x v="10"/>
    <x v="7"/>
    <x v="0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ues" useAutoFormatting="0" itemPrintTitles="1" indent="0" outline="0" outlineData="0" compact="0" compactData="0">
  <location ref="A1:B3" firstHeaderRow="1" firstDataRow="1" firstDataCol="1"/>
  <pivotFields count="3">
    <pivotField axis="axisRow" compact="0" showAll="0" defaultSubtotal="0" outline="0">
      <items count="3">
        <item x="0"/>
        <item x="1"/>
        <item x="2"/>
      </items>
    </pivotField>
    <pivotField compact="0" showAll="0"/>
    <pivotField dataField="1" compact="0" showAll="0" outline="0"/>
  </pivotFields>
  <rowFields count="1">
    <field x="0"/>
  </rowFields>
  <dataFields count="1">
    <dataField name="Сумма - Результат" fld="2" subtotal="sum" numFmtId="17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сводка" displayName="сводка" ref="A1:B70" headerRowCount="1" totalsRowCount="0" totalsRowShown="0">
  <tableColumns count="2">
    <tableColumn id="1" name="Дата"/>
    <tableColumn id="2" name="Сумма - Результат"/>
  </tableColumns>
</table>
</file>

<file path=xl/worksheets/_rels/sheet3.xml.rels><?xml version="1.0" encoding="UTF-8"?>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pivotTable" Target="../pivotTables/pivotTable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33"/>
  <sheetViews>
    <sheetView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K33" activeCellId="0" sqref="K33"/>
    </sheetView>
  </sheetViews>
  <sheetFormatPr defaultColWidth="10.4921875" defaultRowHeight="13.8" zeroHeight="false" outlineLevelRow="0" outlineLevelCol="0"/>
  <cols>
    <col collapsed="false" customWidth="true" hidden="false" outlineLevel="0" max="5" min="5" style="0" width="17.7"/>
    <col collapsed="false" customWidth="true" hidden="false" outlineLevel="0" max="6" min="6" style="0" width="18.45"/>
    <col collapsed="false" customWidth="true" hidden="false" outlineLevel="0" max="7" min="7" style="0" width="14.59"/>
    <col collapsed="false" customWidth="true" hidden="false" outlineLevel="0" max="10" min="10" style="1" width="16.2"/>
    <col collapsed="false" customWidth="true" hidden="false" outlineLevel="0" max="11" min="11" style="0" width="12.91"/>
    <col collapsed="false" customWidth="true" hidden="false" outlineLevel="0" max="12" min="12" style="0" width="11.7"/>
  </cols>
  <sheetData>
    <row r="1" customFormat="false" ht="13.8" hidden="false" customHeight="false" outlineLevel="0" collapsed="false">
      <c r="E1" s="2" t="s">
        <v>0</v>
      </c>
      <c r="F1" s="2" t="s">
        <v>1</v>
      </c>
      <c r="G1" s="2" t="s">
        <v>2</v>
      </c>
    </row>
    <row r="2" customFormat="false" ht="13.8" hidden="false" customHeight="false" outlineLevel="0" collapsed="false">
      <c r="E2" s="3" t="n">
        <f aca="false">SUM(B4:B19901)</f>
        <v>171700</v>
      </c>
      <c r="F2" s="3" t="n">
        <f aca="false">SUM(C4:C19901)</f>
        <v>8360</v>
      </c>
      <c r="G2" s="3" t="n">
        <f aca="false">F2-E2</f>
        <v>-163340</v>
      </c>
      <c r="I2" s="0" t="s">
        <v>3</v>
      </c>
    </row>
    <row r="3" customFormat="false" ht="31.5" hidden="false" customHeight="true" outlineLevel="0" collapsed="false">
      <c r="A3" s="4" t="s">
        <v>4</v>
      </c>
      <c r="B3" s="4" t="s">
        <v>5</v>
      </c>
      <c r="C3" s="4" t="s">
        <v>6</v>
      </c>
      <c r="D3" s="5"/>
      <c r="E3" s="5"/>
      <c r="F3" s="5"/>
      <c r="G3" s="5"/>
      <c r="H3" s="5"/>
      <c r="I3" s="5" t="s">
        <v>7</v>
      </c>
      <c r="J3" s="6" t="s">
        <v>8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customFormat="false" ht="13.8" hidden="false" customHeight="false" outlineLevel="0" collapsed="false">
      <c r="A4" s="7" t="n">
        <v>42370</v>
      </c>
      <c r="B4" s="8"/>
      <c r="C4" s="8"/>
      <c r="D4" s="8"/>
      <c r="E4" s="8"/>
      <c r="F4" s="8"/>
      <c r="G4" s="8"/>
      <c r="H4" s="8"/>
      <c r="I4" s="7" t="n">
        <v>42370</v>
      </c>
      <c r="J4" s="1" t="n">
        <f aca="false">B4*-1+C4</f>
        <v>0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customFormat="false" ht="13.8" hidden="false" customHeight="false" outlineLevel="0" collapsed="false">
      <c r="A5" s="9" t="n">
        <v>42395</v>
      </c>
      <c r="C5" s="0" t="n">
        <v>4160</v>
      </c>
      <c r="I5" s="9" t="n">
        <v>42395</v>
      </c>
      <c r="J5" s="1" t="n">
        <f aca="false">B5*-1+C5</f>
        <v>4160</v>
      </c>
    </row>
    <row r="6" customFormat="false" ht="13.8" hidden="false" customHeight="false" outlineLevel="0" collapsed="false">
      <c r="A6" s="9" t="n">
        <v>42416</v>
      </c>
      <c r="B6" s="0" t="n">
        <v>3500</v>
      </c>
      <c r="I6" s="9" t="n">
        <v>42416</v>
      </c>
      <c r="J6" s="1" t="n">
        <f aca="false">B6*-1+C6</f>
        <v>-3500</v>
      </c>
    </row>
    <row r="7" customFormat="false" ht="13.8" hidden="false" customHeight="false" outlineLevel="0" collapsed="false">
      <c r="A7" s="9" t="n">
        <v>42430</v>
      </c>
      <c r="B7" s="0" t="n">
        <v>7300</v>
      </c>
      <c r="I7" s="9" t="n">
        <v>42430</v>
      </c>
      <c r="J7" s="1" t="n">
        <f aca="false">B7*-1+C7</f>
        <v>-7300</v>
      </c>
    </row>
    <row r="8" customFormat="false" ht="13.8" hidden="false" customHeight="false" outlineLevel="0" collapsed="false">
      <c r="A8" s="9" t="n">
        <v>42449</v>
      </c>
      <c r="B8" s="0" t="n">
        <v>2700</v>
      </c>
      <c r="I8" s="9" t="n">
        <v>42449</v>
      </c>
      <c r="J8" s="1" t="n">
        <f aca="false">B8*-1+C8</f>
        <v>-2700</v>
      </c>
    </row>
    <row r="9" customFormat="false" ht="13.8" hidden="false" customHeight="false" outlineLevel="0" collapsed="false">
      <c r="A9" s="9" t="n">
        <v>42461</v>
      </c>
      <c r="B9" s="0" t="n">
        <v>4500</v>
      </c>
      <c r="I9" s="9" t="n">
        <v>42461</v>
      </c>
      <c r="J9" s="1" t="n">
        <f aca="false">B9*-1+C9</f>
        <v>-4500</v>
      </c>
    </row>
    <row r="10" customFormat="false" ht="13.8" hidden="false" customHeight="false" outlineLevel="0" collapsed="false">
      <c r="A10" s="9" t="n">
        <v>42462</v>
      </c>
      <c r="B10" s="0" t="n">
        <v>4000</v>
      </c>
      <c r="I10" s="9" t="n">
        <v>42462</v>
      </c>
      <c r="J10" s="1" t="n">
        <f aca="false">B10*-1+C10</f>
        <v>-4000</v>
      </c>
    </row>
    <row r="11" customFormat="false" ht="13.8" hidden="false" customHeight="false" outlineLevel="0" collapsed="false">
      <c r="A11" s="9" t="n">
        <v>42471</v>
      </c>
      <c r="C11" s="0" t="n">
        <v>4200</v>
      </c>
      <c r="I11" s="9" t="n">
        <v>42471</v>
      </c>
      <c r="J11" s="1" t="n">
        <f aca="false">B11*-1+C11</f>
        <v>4200</v>
      </c>
    </row>
    <row r="12" customFormat="false" ht="13.8" hidden="false" customHeight="false" outlineLevel="0" collapsed="false">
      <c r="A12" s="9" t="n">
        <v>42478</v>
      </c>
      <c r="B12" s="0" t="n">
        <v>2000</v>
      </c>
      <c r="I12" s="9" t="n">
        <v>42478</v>
      </c>
      <c r="J12" s="1" t="n">
        <f aca="false">B12*-1+C12</f>
        <v>-2000</v>
      </c>
    </row>
    <row r="13" customFormat="false" ht="13.8" hidden="false" customHeight="false" outlineLevel="0" collapsed="false">
      <c r="A13" s="9" t="n">
        <v>42488</v>
      </c>
      <c r="B13" s="0" t="n">
        <v>8900</v>
      </c>
      <c r="I13" s="9" t="n">
        <v>42488</v>
      </c>
      <c r="J13" s="1" t="n">
        <f aca="false">B13*-1+C13</f>
        <v>-8900</v>
      </c>
    </row>
    <row r="14" customFormat="false" ht="13.8" hidden="false" customHeight="false" outlineLevel="0" collapsed="false">
      <c r="A14" s="9" t="n">
        <v>42508</v>
      </c>
      <c r="B14" s="0" t="n">
        <v>1400</v>
      </c>
      <c r="I14" s="9" t="n">
        <v>42508</v>
      </c>
      <c r="J14" s="1" t="n">
        <f aca="false">B14*-1+C14</f>
        <v>-1400</v>
      </c>
    </row>
    <row r="15" customFormat="false" ht="13.8" hidden="false" customHeight="false" outlineLevel="0" collapsed="false">
      <c r="A15" s="9" t="n">
        <v>42522</v>
      </c>
      <c r="B15" s="0" t="n">
        <v>6000</v>
      </c>
      <c r="I15" s="9" t="n">
        <v>42522</v>
      </c>
      <c r="J15" s="1" t="n">
        <f aca="false">B15*-1+C15</f>
        <v>-6000</v>
      </c>
    </row>
    <row r="16" customFormat="false" ht="13.8" hidden="false" customHeight="false" outlineLevel="0" collapsed="false">
      <c r="A16" s="9" t="n">
        <v>42539</v>
      </c>
      <c r="B16" s="0" t="n">
        <v>3500</v>
      </c>
      <c r="I16" s="9" t="n">
        <v>42539</v>
      </c>
      <c r="J16" s="1" t="n">
        <f aca="false">B16*-1+C16</f>
        <v>-3500</v>
      </c>
    </row>
    <row r="17" customFormat="false" ht="13.8" hidden="false" customHeight="false" outlineLevel="0" collapsed="false">
      <c r="A17" s="9" t="n">
        <v>42546</v>
      </c>
      <c r="B17" s="0" t="n">
        <v>4500</v>
      </c>
      <c r="I17" s="9" t="n">
        <v>42546</v>
      </c>
      <c r="J17" s="1" t="n">
        <f aca="false">B17*-1+C17</f>
        <v>-4500</v>
      </c>
    </row>
    <row r="18" customFormat="false" ht="13.8" hidden="false" customHeight="false" outlineLevel="0" collapsed="false">
      <c r="A18" s="9" t="n">
        <v>42549</v>
      </c>
      <c r="B18" s="0" t="n">
        <v>7000</v>
      </c>
      <c r="I18" s="9" t="n">
        <v>42549</v>
      </c>
      <c r="J18" s="1" t="n">
        <f aca="false">B18*-1+C18</f>
        <v>-7000</v>
      </c>
    </row>
    <row r="19" customFormat="false" ht="13.8" hidden="false" customHeight="false" outlineLevel="0" collapsed="false">
      <c r="A19" s="9" t="n">
        <v>42604</v>
      </c>
      <c r="B19" s="0" t="n">
        <v>21500</v>
      </c>
      <c r="I19" s="9" t="n">
        <v>42604</v>
      </c>
      <c r="J19" s="1" t="n">
        <f aca="false">B19*-1+C19</f>
        <v>-21500</v>
      </c>
    </row>
    <row r="20" customFormat="false" ht="13.8" hidden="false" customHeight="false" outlineLevel="0" collapsed="false">
      <c r="A20" s="9" t="n">
        <v>42612</v>
      </c>
      <c r="B20" s="0" t="n">
        <v>3800</v>
      </c>
      <c r="I20" s="9" t="n">
        <v>42612</v>
      </c>
      <c r="J20" s="1" t="n">
        <f aca="false">B20*-1+C20</f>
        <v>-3800</v>
      </c>
    </row>
    <row r="21" customFormat="false" ht="13.8" hidden="false" customHeight="false" outlineLevel="0" collapsed="false">
      <c r="A21" s="9" t="n">
        <v>42633</v>
      </c>
      <c r="B21" s="0" t="n">
        <v>4900</v>
      </c>
      <c r="I21" s="9" t="n">
        <v>42633</v>
      </c>
      <c r="J21" s="1" t="n">
        <f aca="false">B21*-1+C21</f>
        <v>-4900</v>
      </c>
    </row>
    <row r="22" customFormat="false" ht="13.8" hidden="false" customHeight="false" outlineLevel="0" collapsed="false">
      <c r="A22" s="9" t="n">
        <v>42646</v>
      </c>
      <c r="B22" s="0" t="n">
        <v>18400</v>
      </c>
      <c r="I22" s="9" t="n">
        <v>42646</v>
      </c>
      <c r="J22" s="1" t="n">
        <f aca="false">B22*-1+C22</f>
        <v>-18400</v>
      </c>
    </row>
    <row r="23" customFormat="false" ht="13.8" hidden="false" customHeight="false" outlineLevel="0" collapsed="false">
      <c r="A23" s="9" t="n">
        <v>42649</v>
      </c>
      <c r="B23" s="0" t="n">
        <v>5000</v>
      </c>
      <c r="I23" s="9" t="n">
        <v>42649</v>
      </c>
      <c r="J23" s="1" t="n">
        <f aca="false">B23*-1+C23</f>
        <v>-5000</v>
      </c>
    </row>
    <row r="24" customFormat="false" ht="13.8" hidden="false" customHeight="false" outlineLevel="0" collapsed="false">
      <c r="A24" s="9" t="n">
        <v>42654</v>
      </c>
      <c r="B24" s="0" t="n">
        <v>400</v>
      </c>
      <c r="I24" s="9" t="n">
        <v>42654</v>
      </c>
      <c r="J24" s="1" t="n">
        <f aca="false">B24*-1+C24</f>
        <v>-400</v>
      </c>
    </row>
    <row r="25" customFormat="false" ht="13.8" hidden="false" customHeight="false" outlineLevel="0" collapsed="false">
      <c r="A25" s="9" t="n">
        <v>42661</v>
      </c>
      <c r="B25" s="0" t="n">
        <v>1300</v>
      </c>
      <c r="I25" s="9" t="n">
        <v>42661</v>
      </c>
      <c r="J25" s="1" t="n">
        <f aca="false">B25*-1+C25</f>
        <v>-1300</v>
      </c>
    </row>
    <row r="26" customFormat="false" ht="13.8" hidden="false" customHeight="false" outlineLevel="0" collapsed="false">
      <c r="A26" s="9" t="n">
        <v>42663</v>
      </c>
      <c r="B26" s="0" t="n">
        <v>23500</v>
      </c>
      <c r="I26" s="9" t="n">
        <v>42663</v>
      </c>
      <c r="J26" s="1" t="n">
        <f aca="false">B26*-1+C26</f>
        <v>-23500</v>
      </c>
    </row>
    <row r="27" customFormat="false" ht="13.8" hidden="false" customHeight="false" outlineLevel="0" collapsed="false">
      <c r="A27" s="9" t="n">
        <v>42665</v>
      </c>
      <c r="B27" s="0" t="n">
        <v>5000</v>
      </c>
      <c r="I27" s="9" t="n">
        <v>42665</v>
      </c>
      <c r="J27" s="1" t="n">
        <f aca="false">B27*-1+C27</f>
        <v>-5000</v>
      </c>
    </row>
    <row r="28" customFormat="false" ht="13.8" hidden="false" customHeight="false" outlineLevel="0" collapsed="false">
      <c r="A28" s="9" t="n">
        <v>42671</v>
      </c>
      <c r="B28" s="0" t="n">
        <v>12000</v>
      </c>
      <c r="I28" s="9" t="n">
        <v>42671</v>
      </c>
      <c r="J28" s="1" t="n">
        <f aca="false">B28*-1+C28</f>
        <v>-12000</v>
      </c>
    </row>
    <row r="29" customFormat="false" ht="13.8" hidden="false" customHeight="false" outlineLevel="0" collapsed="false">
      <c r="A29" s="9" t="n">
        <v>42673</v>
      </c>
      <c r="B29" s="0" t="n">
        <v>1000</v>
      </c>
      <c r="I29" s="9" t="n">
        <v>42673</v>
      </c>
      <c r="J29" s="1" t="n">
        <f aca="false">B29*-1+C29</f>
        <v>-1000</v>
      </c>
    </row>
    <row r="30" customFormat="false" ht="13.8" hidden="false" customHeight="false" outlineLevel="0" collapsed="false">
      <c r="A30" s="9" t="n">
        <v>42682</v>
      </c>
      <c r="B30" s="0" t="n">
        <v>10000</v>
      </c>
      <c r="I30" s="9" t="n">
        <v>42682</v>
      </c>
      <c r="J30" s="1" t="n">
        <f aca="false">B30*-1+C30</f>
        <v>-10000</v>
      </c>
    </row>
    <row r="31" customFormat="false" ht="13.8" hidden="false" customHeight="false" outlineLevel="0" collapsed="false">
      <c r="A31" s="9" t="n">
        <v>42683</v>
      </c>
      <c r="B31" s="0" t="n">
        <v>4600</v>
      </c>
      <c r="I31" s="9" t="n">
        <v>42683</v>
      </c>
      <c r="J31" s="1" t="n">
        <f aca="false">B31*-1+C31</f>
        <v>-4600</v>
      </c>
    </row>
    <row r="32" customFormat="false" ht="13.8" hidden="false" customHeight="false" outlineLevel="0" collapsed="false">
      <c r="A32" s="9" t="n">
        <v>42695</v>
      </c>
      <c r="B32" s="0" t="n">
        <v>5000</v>
      </c>
      <c r="I32" s="9" t="n">
        <v>42695</v>
      </c>
      <c r="J32" s="1" t="n">
        <f aca="false">B32*-1+C32</f>
        <v>-5000</v>
      </c>
    </row>
    <row r="33" customFormat="false" ht="13.8" hidden="false" customHeight="false" outlineLevel="0" collapsed="false">
      <c r="A33" s="10" t="n">
        <v>42735</v>
      </c>
      <c r="B33" s="11"/>
      <c r="C33" s="11"/>
      <c r="D33" s="11"/>
      <c r="E33" s="11"/>
      <c r="F33" s="11"/>
      <c r="G33" s="11"/>
      <c r="H33" s="11"/>
      <c r="I33" s="10" t="n">
        <v>42735</v>
      </c>
      <c r="J33" s="12" t="n">
        <v>173276</v>
      </c>
      <c r="K33" s="13" t="n">
        <f aca="false">XIRR(J4:J33,I4:I33,0.1)</f>
        <v>0.18160312800977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&amp;C&amp;10&amp;A</oddHeader>
    <oddFooter>&amp;C&amp;10Страница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5" activeCellId="0" sqref="C15"/>
    </sheetView>
  </sheetViews>
  <sheetFormatPr defaultColWidth="10.4921875" defaultRowHeight="13.8" zeroHeight="false" outlineLevelRow="0" outlineLevelCol="0"/>
  <cols>
    <col collapsed="false" customWidth="true" hidden="false" outlineLevel="0" max="2" min="2" style="0" width="31.32"/>
    <col collapsed="false" customWidth="false" hidden="false" outlineLevel="0" max="3" min="3" style="14" width="10.5"/>
  </cols>
  <sheetData>
    <row r="1" customFormat="false" ht="13.8" hidden="false" customHeight="false" outlineLevel="0" collapsed="false">
      <c r="A1" s="15" t="s">
        <v>4</v>
      </c>
      <c r="B1" s="16" t="s">
        <v>9</v>
      </c>
      <c r="C1" s="17" t="s">
        <v>10</v>
      </c>
    </row>
    <row r="2" customFormat="false" ht="13.8" hidden="false" customHeight="false" outlineLevel="0" collapsed="false">
      <c r="A2" s="9" t="n">
        <v>43651</v>
      </c>
      <c r="B2" s="0" t="s">
        <v>11</v>
      </c>
      <c r="C2" s="18" t="n">
        <v>4826</v>
      </c>
    </row>
    <row r="3" customFormat="false" ht="13.8" hidden="false" customHeight="false" outlineLevel="0" collapsed="false">
      <c r="A3" s="9" t="n">
        <v>43654</v>
      </c>
      <c r="B3" s="0" t="s">
        <v>12</v>
      </c>
      <c r="C3" s="18" t="n">
        <v>3366</v>
      </c>
    </row>
    <row r="4" customFormat="false" ht="13.8" hidden="false" customHeight="false" outlineLevel="0" collapsed="false">
      <c r="A4" s="9" t="n">
        <v>43669</v>
      </c>
      <c r="B4" s="0" t="s">
        <v>13</v>
      </c>
      <c r="C4" s="18" t="n">
        <v>6858</v>
      </c>
    </row>
    <row r="5" customFormat="false" ht="13.8" hidden="false" customHeight="false" outlineLevel="0" collapsed="false">
      <c r="A5" s="9" t="n">
        <v>43670</v>
      </c>
      <c r="B5" s="0" t="s">
        <v>14</v>
      </c>
      <c r="C5" s="18" t="n">
        <v>5070</v>
      </c>
    </row>
    <row r="6" customFormat="false" ht="13.8" hidden="false" customHeight="false" outlineLevel="0" collapsed="false">
      <c r="A6" s="9" t="n">
        <v>43670</v>
      </c>
      <c r="B6" s="0" t="s">
        <v>15</v>
      </c>
      <c r="C6" s="18" t="n">
        <v>2463</v>
      </c>
    </row>
    <row r="7" customFormat="false" ht="13.8" hidden="false" customHeight="false" outlineLevel="0" collapsed="false">
      <c r="A7" s="9" t="n">
        <v>43672</v>
      </c>
      <c r="B7" s="0" t="s">
        <v>16</v>
      </c>
      <c r="C7" s="18" t="n">
        <v>2631</v>
      </c>
    </row>
    <row r="8" customFormat="false" ht="13.8" hidden="false" customHeight="false" outlineLevel="0" collapsed="false">
      <c r="A8" s="9" t="n">
        <v>43684</v>
      </c>
      <c r="B8" s="0" t="s">
        <v>17</v>
      </c>
      <c r="C8" s="14" t="n">
        <v>8837</v>
      </c>
    </row>
    <row r="9" customFormat="false" ht="13.8" hidden="false" customHeight="false" outlineLevel="0" collapsed="false">
      <c r="A9" s="9" t="n">
        <v>43755</v>
      </c>
      <c r="B9" s="0" t="s">
        <v>18</v>
      </c>
      <c r="C9" s="14" t="n">
        <v>2823</v>
      </c>
    </row>
    <row r="10" customFormat="false" ht="13.8" hidden="false" customHeight="false" outlineLevel="0" collapsed="false">
      <c r="A10" s="9" t="n">
        <v>43755</v>
      </c>
      <c r="B10" s="0" t="s">
        <v>14</v>
      </c>
      <c r="C10" s="14" t="n">
        <v>6281</v>
      </c>
    </row>
    <row r="11" customFormat="false" ht="13.8" hidden="false" customHeight="false" outlineLevel="0" collapsed="false">
      <c r="A11" s="9" t="n">
        <v>43756</v>
      </c>
      <c r="B11" s="0" t="s">
        <v>11</v>
      </c>
      <c r="C11" s="14" t="n">
        <v>5383</v>
      </c>
    </row>
    <row r="12" customFormat="false" ht="13.8" hidden="false" customHeight="false" outlineLevel="0" collapsed="false">
      <c r="A12" s="9" t="n">
        <v>43766</v>
      </c>
      <c r="B12" s="0" t="s">
        <v>13</v>
      </c>
      <c r="C12" s="14" t="n">
        <v>3020</v>
      </c>
    </row>
    <row r="13" customFormat="false" ht="13.8" hidden="false" customHeight="false" outlineLevel="0" collapsed="false">
      <c r="A13" s="9" t="n">
        <v>43767</v>
      </c>
      <c r="B13" s="0" t="s">
        <v>12</v>
      </c>
      <c r="C13" s="14" t="n">
        <v>1561</v>
      </c>
    </row>
    <row r="14" customFormat="false" ht="13.8" hidden="false" customHeight="false" outlineLevel="0" collapsed="false">
      <c r="A14" s="9" t="n">
        <v>43770</v>
      </c>
      <c r="B14" s="0" t="s">
        <v>16</v>
      </c>
      <c r="C14" s="14" t="n">
        <v>350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10.4921875" defaultRowHeight="12.8" zeroHeight="false" outlineLevelRow="0" outlineLevelCol="0"/>
  <sheetData>
    <row r="1" customFormat="false" ht="13.8" hidden="false" customHeight="false" outlineLevel="0" collapsed="false">
      <c r="A1" s="19" t="s">
        <v>4</v>
      </c>
      <c r="B1" s="20" t="s">
        <v>19</v>
      </c>
    </row>
    <row r="2" customFormat="false" ht="13.8" hidden="false" customHeight="false" outlineLevel="0" collapsed="false">
      <c r="A2" s="21" t="s">
        <v>20</v>
      </c>
      <c r="B2" s="22" t="n">
        <v>53469</v>
      </c>
    </row>
    <row r="3" customFormat="false" ht="13.8" hidden="false" customHeight="false" outlineLevel="0" collapsed="false">
      <c r="A3" s="23" t="s">
        <v>21</v>
      </c>
      <c r="B3" s="24" t="n">
        <v>53469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&amp;C&amp;10Страница &amp;P</oddFooter>
  </headerFooter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5" activeCellId="0" sqref="A15"/>
    </sheetView>
  </sheetViews>
  <sheetFormatPr defaultColWidth="10.4921875" defaultRowHeight="13.8" zeroHeight="false" outlineLevelRow="0" outlineLevelCol="0"/>
  <cols>
    <col collapsed="false" customWidth="true" hidden="false" outlineLevel="0" max="1" min="1" style="0" width="19.26"/>
    <col collapsed="false" customWidth="true" hidden="false" outlineLevel="0" max="2" min="2" style="18" width="14.47"/>
    <col collapsed="false" customWidth="true" hidden="false" outlineLevel="0" max="3" min="3" style="25" width="12.43"/>
    <col collapsed="false" customWidth="true" hidden="false" outlineLevel="0" max="4" min="4" style="1" width="14.87"/>
    <col collapsed="false" customWidth="true" hidden="false" outlineLevel="0" max="5" min="5" style="26" width="15.84"/>
    <col collapsed="false" customWidth="true" hidden="false" outlineLevel="0" max="10" min="10" style="0" width="12.96"/>
  </cols>
  <sheetData>
    <row r="1" customFormat="false" ht="13.8" hidden="false" customHeight="false" outlineLevel="0" collapsed="false">
      <c r="A1" s="27" t="n">
        <v>43738</v>
      </c>
    </row>
    <row r="2" customFormat="false" ht="13.8" hidden="false" customHeight="false" outlineLevel="0" collapsed="false">
      <c r="A2" s="28" t="s">
        <v>22</v>
      </c>
      <c r="B2" s="29" t="s">
        <v>23</v>
      </c>
      <c r="C2" s="30" t="s">
        <v>24</v>
      </c>
      <c r="D2" s="31" t="s">
        <v>25</v>
      </c>
      <c r="E2" s="32" t="s">
        <v>26</v>
      </c>
    </row>
    <row r="3" customFormat="false" ht="13.8" hidden="false" customHeight="false" outlineLevel="0" collapsed="false">
      <c r="A3" s="27" t="s">
        <v>27</v>
      </c>
      <c r="B3" s="18" t="n">
        <v>10</v>
      </c>
      <c r="C3" s="33" t="n">
        <f aca="false">B3/23673512900</f>
        <v>4.22413016701041E-010</v>
      </c>
      <c r="D3" s="1" t="n">
        <v>2498</v>
      </c>
      <c r="E3" s="26" t="n">
        <f aca="false">D3/$D$13</f>
        <v>0.0141237667147259</v>
      </c>
    </row>
    <row r="4" customFormat="false" ht="13.8" hidden="false" customHeight="false" outlineLevel="0" collapsed="false">
      <c r="A4" s="27" t="s">
        <v>28</v>
      </c>
      <c r="B4" s="18" t="n">
        <v>50</v>
      </c>
      <c r="C4" s="25" t="n">
        <f aca="false">B4/2278636493</f>
        <v>2.19429470885771E-008</v>
      </c>
      <c r="D4" s="1" t="n">
        <f aca="false">103*B4</f>
        <v>5150</v>
      </c>
      <c r="E4" s="26" t="n">
        <f aca="false">D4/$D$13</f>
        <v>0.0291182540355638</v>
      </c>
    </row>
    <row r="5" customFormat="false" ht="13.8" hidden="false" customHeight="false" outlineLevel="0" collapsed="false">
      <c r="A5" s="27" t="s">
        <v>29</v>
      </c>
      <c r="B5" s="18" t="n">
        <v>2</v>
      </c>
      <c r="C5" s="25" t="n">
        <f aca="false">B5/158245476</f>
        <v>1.26385919557031E-008</v>
      </c>
      <c r="D5" s="1" t="n">
        <v>34000</v>
      </c>
      <c r="E5" s="26" t="n">
        <f aca="false">D5/$D$13</f>
        <v>0.19223701693382</v>
      </c>
    </row>
    <row r="6" customFormat="false" ht="13.8" hidden="false" customHeight="false" outlineLevel="0" collapsed="false">
      <c r="A6" s="27" t="s">
        <v>30</v>
      </c>
      <c r="B6" s="18" t="n">
        <v>30</v>
      </c>
      <c r="C6" s="33" t="n">
        <f aca="false">B6/2326199200</f>
        <v>1.28965739477513E-008</v>
      </c>
      <c r="D6" s="1" t="n">
        <f aca="false">620*B6</f>
        <v>18600</v>
      </c>
      <c r="E6" s="26" t="n">
        <f aca="false">D6/$D$13</f>
        <v>0.105164956322619</v>
      </c>
    </row>
    <row r="7" customFormat="false" ht="13.8" hidden="false" customHeight="false" outlineLevel="0" collapsed="false">
      <c r="A7" s="27" t="s">
        <v>31</v>
      </c>
      <c r="B7" s="18" t="n">
        <v>20</v>
      </c>
      <c r="C7" s="25" t="n">
        <f aca="false">B7/1998381575</f>
        <v>1.00080986785519E-008</v>
      </c>
      <c r="D7" s="1" t="n">
        <v>5400</v>
      </c>
      <c r="E7" s="26" t="n">
        <f aca="false">D7/$D$13</f>
        <v>0.0305317615130184</v>
      </c>
    </row>
    <row r="8" customFormat="false" ht="13.8" hidden="false" customHeight="false" outlineLevel="0" collapsed="false">
      <c r="A8" s="27" t="s">
        <v>32</v>
      </c>
      <c r="B8" s="18" t="n">
        <v>3</v>
      </c>
      <c r="C8" s="33" t="n">
        <f aca="false">B8/129500000</f>
        <v>2.31660231660232E-008</v>
      </c>
      <c r="D8" s="1" t="n">
        <v>7500</v>
      </c>
      <c r="E8" s="26" t="n">
        <f aca="false">D8/$D$13</f>
        <v>0.0424052243236367</v>
      </c>
    </row>
    <row r="9" customFormat="false" ht="13.8" hidden="false" customHeight="false" outlineLevel="0" collapsed="false">
      <c r="A9" s="27" t="s">
        <v>33</v>
      </c>
      <c r="B9" s="18" t="n">
        <v>200</v>
      </c>
      <c r="C9" s="25" t="n">
        <f aca="false">B9/11174330000</f>
        <v>1.7898164811671E-008</v>
      </c>
      <c r="D9" s="1" t="n">
        <f aca="false">38*B9</f>
        <v>7600</v>
      </c>
      <c r="E9" s="26" t="n">
        <f aca="false">D9/$D$13</f>
        <v>0.0429706273146185</v>
      </c>
    </row>
    <row r="10" customFormat="false" ht="13.8" hidden="false" customHeight="false" outlineLevel="0" collapsed="false">
      <c r="A10" s="27" t="s">
        <v>34</v>
      </c>
      <c r="B10" s="18" t="n">
        <v>100</v>
      </c>
      <c r="C10" s="33" t="n">
        <f aca="false">B10/(21586948000+1000000000)</f>
        <v>4.42733564534704E-009</v>
      </c>
      <c r="D10" s="1" t="n">
        <v>24000</v>
      </c>
      <c r="E10" s="26" t="n">
        <f aca="false">D10/$D$13</f>
        <v>0.135696717835637</v>
      </c>
    </row>
    <row r="11" customFormat="false" ht="13.8" hidden="false" customHeight="false" outlineLevel="0" collapsed="false">
      <c r="A11" s="27" t="s">
        <v>35</v>
      </c>
      <c r="B11" s="18" t="n">
        <v>4</v>
      </c>
      <c r="C11" s="25" t="n">
        <f aca="false">B11/750000000</f>
        <v>5.33333333333333E-009</v>
      </c>
      <c r="D11" s="1" t="n">
        <v>22000</v>
      </c>
      <c r="E11" s="26" t="n">
        <f aca="false">D11/$D$13</f>
        <v>0.124388658016001</v>
      </c>
    </row>
    <row r="12" customFormat="false" ht="13.8" hidden="false" customHeight="false" outlineLevel="0" collapsed="false">
      <c r="A12" s="27" t="s">
        <v>36</v>
      </c>
      <c r="D12" s="1" t="n">
        <v>50117</v>
      </c>
    </row>
    <row r="13" customFormat="false" ht="13.8" hidden="false" customHeight="false" outlineLevel="0" collapsed="false">
      <c r="A13" s="27"/>
      <c r="D13" s="34" t="n">
        <f aca="false">SUM(D3:D12)</f>
        <v>176865</v>
      </c>
    </row>
    <row r="14" customFormat="false" ht="13.8" hidden="false" customHeight="false" outlineLevel="0" collapsed="false">
      <c r="A14" s="27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&amp;C&amp;10Страница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7"/>
  <sheetViews>
    <sheetView showFormulas="false" showGridLines="tru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J4" activeCellId="0" sqref="J4"/>
    </sheetView>
  </sheetViews>
  <sheetFormatPr defaultColWidth="10.4921875" defaultRowHeight="13.8" zeroHeight="false" outlineLevelRow="0" outlineLevelCol="0"/>
  <cols>
    <col collapsed="false" customWidth="true" hidden="false" outlineLevel="0" max="2" min="2" style="1" width="21.2"/>
    <col collapsed="false" customWidth="true" hidden="false" outlineLevel="0" max="3" min="3" style="1" width="20.82"/>
    <col collapsed="false" customWidth="true" hidden="false" outlineLevel="0" max="4" min="4" style="1" width="21.2"/>
    <col collapsed="false" customWidth="true" hidden="false" outlineLevel="0" max="5" min="5" style="1" width="16.46"/>
    <col collapsed="false" customWidth="true" hidden="false" outlineLevel="0" max="6" min="6" style="0" width="21.07"/>
    <col collapsed="false" customWidth="false" hidden="false" outlineLevel="0" max="7" min="7" style="26" width="10.5"/>
    <col collapsed="false" customWidth="true" hidden="false" outlineLevel="0" max="8" min="8" style="0" width="12.43"/>
  </cols>
  <sheetData>
    <row r="1" customFormat="false" ht="12.8" hidden="false" customHeight="true" outlineLevel="0" collapsed="false">
      <c r="A1" s="5"/>
      <c r="B1" s="6"/>
      <c r="C1" s="6"/>
      <c r="D1" s="6"/>
      <c r="E1" s="6"/>
      <c r="F1" s="5"/>
      <c r="G1" s="35"/>
      <c r="H1" s="5"/>
      <c r="I1" s="36" t="s">
        <v>37</v>
      </c>
      <c r="J1" s="36"/>
      <c r="K1" s="36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</row>
    <row r="2" customFormat="false" ht="27.6" hidden="false" customHeight="true" outlineLevel="0" collapsed="false">
      <c r="A2" s="5" t="s">
        <v>38</v>
      </c>
      <c r="B2" s="6" t="s">
        <v>39</v>
      </c>
      <c r="C2" s="6" t="s">
        <v>40</v>
      </c>
      <c r="D2" s="6" t="s">
        <v>41</v>
      </c>
      <c r="E2" s="6" t="s">
        <v>42</v>
      </c>
      <c r="F2" s="5" t="s">
        <v>43</v>
      </c>
      <c r="G2" s="35" t="s">
        <v>44</v>
      </c>
      <c r="H2" s="5" t="s">
        <v>45</v>
      </c>
      <c r="I2" s="5" t="s">
        <v>46</v>
      </c>
      <c r="J2" s="5" t="s">
        <v>47</v>
      </c>
      <c r="K2" s="5" t="s">
        <v>48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</row>
    <row r="3" customFormat="false" ht="13.8" hidden="false" customHeight="false" outlineLevel="0" collapsed="false">
      <c r="A3" s="0" t="n">
        <v>2014</v>
      </c>
      <c r="B3" s="1" t="n">
        <v>88000</v>
      </c>
      <c r="C3" s="1" t="n">
        <v>118557</v>
      </c>
      <c r="D3" s="1" t="n">
        <v>31000</v>
      </c>
      <c r="E3" s="1" t="n">
        <v>6193</v>
      </c>
      <c r="F3" s="1" t="n">
        <f aca="false">C3-B3-D3+E3</f>
        <v>5750</v>
      </c>
      <c r="G3" s="26" t="n">
        <f aca="false">F3/(C3-F3)</f>
        <v>0.0509720141480582</v>
      </c>
      <c r="H3" s="26" t="n">
        <v>0.0632</v>
      </c>
      <c r="I3" s="0" t="n">
        <v>1504.14</v>
      </c>
      <c r="J3" s="0" t="n">
        <v>1396.61</v>
      </c>
      <c r="K3" s="26" t="n">
        <f aca="false">J3/I3-1</f>
        <v>-0.0714893560439854</v>
      </c>
    </row>
    <row r="4" customFormat="false" ht="13.8" hidden="false" customHeight="false" outlineLevel="0" collapsed="false">
      <c r="A4" s="0" t="n">
        <v>2016</v>
      </c>
      <c r="B4" s="1" t="n">
        <v>0</v>
      </c>
      <c r="C4" s="1" t="n">
        <v>173276</v>
      </c>
      <c r="D4" s="37" t="n">
        <f aca="false">SUM(Приход_расход!B4:B33)</f>
        <v>171700</v>
      </c>
      <c r="E4" s="1" t="n">
        <f aca="false">SUM(Приход_расход!C4:C33)</f>
        <v>8360</v>
      </c>
      <c r="F4" s="1" t="n">
        <f aca="false">C4-B4-D4+E4</f>
        <v>9936</v>
      </c>
      <c r="G4" s="26" t="n">
        <f aca="false">F4/(C4-F4)</f>
        <v>0.0608301701971348</v>
      </c>
      <c r="H4" s="26" t="n">
        <f aca="false">Приход_расход!K33</f>
        <v>0.18160312800977</v>
      </c>
      <c r="I4" s="0" t="n">
        <v>1761.42</v>
      </c>
      <c r="J4" s="0" t="n">
        <v>2232.72</v>
      </c>
      <c r="K4" s="26" t="n">
        <f aca="false">J4/I4-1</f>
        <v>0.267568212010764</v>
      </c>
    </row>
    <row r="5" customFormat="false" ht="13.8" hidden="false" customHeight="false" outlineLevel="0" collapsed="false">
      <c r="F5" s="1"/>
      <c r="H5" s="26"/>
      <c r="K5" s="26"/>
    </row>
    <row r="6" customFormat="false" ht="13.8" hidden="false" customHeight="false" outlineLevel="0" collapsed="false">
      <c r="F6" s="1"/>
      <c r="H6" s="26"/>
      <c r="K6" s="26"/>
    </row>
    <row r="7" customFormat="false" ht="13.8" hidden="false" customHeight="false" outlineLevel="0" collapsed="false">
      <c r="F7" s="1"/>
      <c r="H7" s="26"/>
      <c r="K7" s="26"/>
    </row>
  </sheetData>
  <mergeCells count="1">
    <mergeCell ref="I1:K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9" activeCellId="0" sqref="B9"/>
    </sheetView>
  </sheetViews>
  <sheetFormatPr defaultColWidth="10.4921875" defaultRowHeight="13.8" zeroHeight="false" outlineLevelRow="0" outlineLevelCol="0"/>
  <cols>
    <col collapsed="false" customWidth="true" hidden="false" outlineLevel="0" max="1" min="1" style="0" width="11.09"/>
    <col collapsed="false" customWidth="true" hidden="false" outlineLevel="0" max="2" min="2" style="18" width="14.01"/>
    <col collapsed="false" customWidth="true" hidden="false" outlineLevel="0" max="3" min="3" style="38" width="17.33"/>
    <col collapsed="false" customWidth="true" hidden="false" outlineLevel="0" max="4" min="4" style="39" width="16.71"/>
    <col collapsed="false" customWidth="true" hidden="false" outlineLevel="0" max="5" min="5" style="18" width="18.39"/>
    <col collapsed="false" customWidth="true" hidden="false" outlineLevel="0" max="6" min="6" style="40" width="15.55"/>
    <col collapsed="false" customWidth="true" hidden="false" outlineLevel="0" max="7" min="7" style="38" width="14.14"/>
    <col collapsed="false" customWidth="true" hidden="false" outlineLevel="0" max="8" min="8" style="0" width="14.83"/>
  </cols>
  <sheetData>
    <row r="1" customFormat="false" ht="25.45" hidden="false" customHeight="true" outlineLevel="0" collapsed="false">
      <c r="A1" s="41" t="s">
        <v>49</v>
      </c>
      <c r="B1" s="42" t="s">
        <v>50</v>
      </c>
      <c r="C1" s="43" t="s">
        <v>51</v>
      </c>
      <c r="D1" s="43" t="s">
        <v>52</v>
      </c>
      <c r="E1" s="42" t="s">
        <v>53</v>
      </c>
      <c r="F1" s="44" t="s">
        <v>54</v>
      </c>
      <c r="G1" s="43"/>
      <c r="H1" s="41"/>
    </row>
    <row r="2" customFormat="false" ht="12.75" hidden="false" customHeight="true" outlineLevel="0" collapsed="false">
      <c r="A2" s="45" t="s">
        <v>55</v>
      </c>
      <c r="B2" s="42"/>
      <c r="C2" s="43"/>
      <c r="D2" s="43"/>
      <c r="E2" s="42"/>
      <c r="F2" s="43" t="n">
        <f aca="false">SUM(E2:E8)</f>
        <v>2985.405</v>
      </c>
      <c r="G2" s="43"/>
      <c r="H2" s="41"/>
    </row>
    <row r="3" customFormat="false" ht="12.75" hidden="false" customHeight="true" outlineLevel="0" collapsed="false">
      <c r="A3" s="46" t="s">
        <v>56</v>
      </c>
      <c r="B3" s="47" t="n">
        <v>100</v>
      </c>
      <c r="C3" s="48" t="n">
        <v>8.68</v>
      </c>
      <c r="D3" s="48" t="n">
        <f aca="false">C3*B3</f>
        <v>868</v>
      </c>
      <c r="E3" s="48" t="n">
        <f aca="false">D3*0.87</f>
        <v>755.16</v>
      </c>
      <c r="F3" s="44"/>
      <c r="G3" s="43"/>
      <c r="H3" s="41"/>
    </row>
    <row r="4" customFormat="false" ht="12.75" hidden="false" customHeight="true" outlineLevel="0" collapsed="false">
      <c r="A4" s="46" t="s">
        <v>57</v>
      </c>
      <c r="B4" s="47" t="n">
        <v>150</v>
      </c>
      <c r="C4" s="48" t="n">
        <v>13.25</v>
      </c>
      <c r="D4" s="48" t="n">
        <f aca="false">C4*B4</f>
        <v>1987.5</v>
      </c>
      <c r="E4" s="48" t="n">
        <f aca="false">D4*0.87</f>
        <v>1729.125</v>
      </c>
      <c r="F4" s="44"/>
      <c r="G4" s="43"/>
      <c r="H4" s="41"/>
    </row>
    <row r="5" customFormat="false" ht="12.75" hidden="false" customHeight="true" outlineLevel="0" collapsed="false">
      <c r="A5" s="46" t="s">
        <v>58</v>
      </c>
      <c r="B5" s="47" t="n">
        <v>180</v>
      </c>
      <c r="C5" s="48" t="n">
        <v>0</v>
      </c>
      <c r="D5" s="48" t="n">
        <f aca="false">C5*B5</f>
        <v>0</v>
      </c>
      <c r="E5" s="48" t="n">
        <f aca="false">D5*0.87</f>
        <v>0</v>
      </c>
      <c r="F5" s="44"/>
      <c r="G5" s="43"/>
      <c r="H5" s="41"/>
    </row>
    <row r="6" customFormat="false" ht="12.75" hidden="false" customHeight="true" outlineLevel="0" collapsed="false">
      <c r="A6" s="46" t="s">
        <v>59</v>
      </c>
      <c r="B6" s="47" t="n">
        <v>3</v>
      </c>
      <c r="C6" s="48" t="n">
        <v>192</v>
      </c>
      <c r="D6" s="48" t="n">
        <f aca="false">C6*B6</f>
        <v>576</v>
      </c>
      <c r="E6" s="48" t="n">
        <f aca="false">D6*0.87</f>
        <v>501.12</v>
      </c>
      <c r="F6" s="44"/>
      <c r="G6" s="43"/>
      <c r="H6" s="41"/>
    </row>
    <row r="7" customFormat="false" ht="12.75" hidden="false" customHeight="true" outlineLevel="0" collapsed="false">
      <c r="A7" s="46" t="s">
        <v>60</v>
      </c>
      <c r="B7" s="47" t="n">
        <v>3</v>
      </c>
      <c r="C7" s="48" t="n">
        <v>0</v>
      </c>
      <c r="D7" s="48" t="n">
        <f aca="false">C7*B7</f>
        <v>0</v>
      </c>
      <c r="E7" s="48" t="n">
        <f aca="false">D7*0.87</f>
        <v>0</v>
      </c>
      <c r="F7" s="44"/>
      <c r="G7" s="43"/>
      <c r="H7" s="41"/>
    </row>
    <row r="8" customFormat="false" ht="12.75" hidden="false" customHeight="true" outlineLevel="0" collapsed="false">
      <c r="A8" s="46" t="s">
        <v>61</v>
      </c>
      <c r="B8" s="47" t="n">
        <v>100</v>
      </c>
      <c r="C8" s="48" t="n">
        <v>0</v>
      </c>
      <c r="D8" s="48" t="n">
        <f aca="false">C8*B8</f>
        <v>0</v>
      </c>
      <c r="E8" s="48" t="n">
        <f aca="false">D8*0.87</f>
        <v>0</v>
      </c>
      <c r="F8" s="44"/>
      <c r="G8" s="43"/>
      <c r="H8" s="41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9" activeCellId="0" sqref="B9"/>
    </sheetView>
  </sheetViews>
  <sheetFormatPr defaultColWidth="10.4921875" defaultRowHeight="13.8" zeroHeight="false" outlineLevelRow="0" outlineLevelCol="0"/>
  <cols>
    <col collapsed="false" customWidth="true" hidden="false" outlineLevel="0" max="2" min="2" style="0" width="12.03"/>
    <col collapsed="false" customWidth="true" hidden="false" outlineLevel="0" max="5" min="5" style="0" width="13.95"/>
    <col collapsed="false" customWidth="true" hidden="false" outlineLevel="0" max="6" min="6" style="38" width="13.95"/>
    <col collapsed="false" customWidth="true" hidden="false" outlineLevel="0" max="7" min="7" style="49" width="13.95"/>
    <col collapsed="false" customWidth="true" hidden="false" outlineLevel="0" max="12" min="12" style="0" width="10.63"/>
    <col collapsed="false" customWidth="true" hidden="false" outlineLevel="0" max="13" min="13" style="0" width="12.28"/>
    <col collapsed="false" customWidth="true" hidden="false" outlineLevel="0" max="14" min="14" style="50" width="9.49"/>
  </cols>
  <sheetData>
    <row r="1" customFormat="false" ht="14.15" hidden="false" customHeight="true" outlineLevel="0" collapsed="false">
      <c r="A1" s="51" t="s">
        <v>62</v>
      </c>
      <c r="B1" s="51"/>
      <c r="C1" s="52" t="n">
        <f aca="false">SUM(G8:G1048576)</f>
        <v>10127.5514</v>
      </c>
      <c r="D1" s="52"/>
      <c r="E1" s="53"/>
      <c r="F1" s="54"/>
      <c r="G1" s="55"/>
      <c r="H1" s="56"/>
      <c r="I1" s="56"/>
      <c r="J1" s="56"/>
      <c r="K1" s="56"/>
      <c r="L1" s="56"/>
      <c r="M1" s="56"/>
      <c r="N1" s="5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customFormat="false" ht="14.15" hidden="false" customHeight="true" outlineLevel="0" collapsed="false">
      <c r="A2" s="51" t="s">
        <v>63</v>
      </c>
      <c r="B2" s="51"/>
      <c r="C2" s="52" t="n">
        <f aca="false">SUM(N8:N1048576)</f>
        <v>0</v>
      </c>
      <c r="D2" s="52"/>
      <c r="E2" s="53"/>
      <c r="F2" s="54"/>
      <c r="G2" s="55"/>
      <c r="H2" s="56"/>
      <c r="I2" s="56"/>
      <c r="J2" s="56"/>
      <c r="K2" s="56"/>
      <c r="L2" s="56"/>
      <c r="M2" s="56"/>
      <c r="N2" s="57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customFormat="false" ht="14.15" hidden="false" customHeight="true" outlineLevel="0" collapsed="false">
      <c r="A3" s="51" t="s">
        <v>64</v>
      </c>
      <c r="B3" s="51"/>
      <c r="C3" s="52" t="n">
        <f aca="false">SUM(P8:P1048576)</f>
        <v>0</v>
      </c>
      <c r="D3" s="52"/>
      <c r="E3" s="53"/>
      <c r="F3" s="54"/>
      <c r="G3" s="55"/>
      <c r="H3" s="58"/>
      <c r="I3" s="58"/>
      <c r="J3" s="56"/>
      <c r="K3" s="56"/>
      <c r="L3" s="56"/>
      <c r="M3" s="56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customFormat="false" ht="14.15" hidden="false" customHeight="true" outlineLevel="0" collapsed="false">
      <c r="A4" s="51" t="s">
        <v>2</v>
      </c>
      <c r="B4" s="51"/>
      <c r="C4" s="52" t="n">
        <f aca="false">C2-C1</f>
        <v>-10127.5514</v>
      </c>
      <c r="D4" s="52"/>
      <c r="E4" s="53"/>
      <c r="F4" s="54"/>
      <c r="G4" s="55"/>
      <c r="H4" s="58"/>
      <c r="I4" s="58"/>
      <c r="J4" s="56"/>
      <c r="K4" s="56"/>
      <c r="L4" s="56"/>
      <c r="M4" s="56"/>
      <c r="N4" s="57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</row>
    <row r="5" customFormat="false" ht="14.15" hidden="false" customHeight="true" outlineLevel="0" collapsed="false">
      <c r="A5" s="51" t="s">
        <v>65</v>
      </c>
      <c r="B5" s="51"/>
      <c r="C5" s="52" t="n">
        <f aca="false">C2+C3-C1</f>
        <v>-10127.5514</v>
      </c>
      <c r="D5" s="52"/>
      <c r="E5" s="53"/>
      <c r="F5" s="54"/>
      <c r="G5" s="55"/>
      <c r="H5" s="58"/>
      <c r="I5" s="58"/>
      <c r="J5" s="56"/>
      <c r="K5" s="56"/>
      <c r="L5" s="56"/>
      <c r="M5" s="56"/>
      <c r="N5" s="57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customFormat="false" ht="13.8" hidden="false" customHeight="false" outlineLevel="0" collapsed="false">
      <c r="A6" s="59"/>
      <c r="B6" s="60" t="s">
        <v>66</v>
      </c>
      <c r="C6" s="60"/>
      <c r="D6" s="60"/>
      <c r="E6" s="60"/>
      <c r="F6" s="60"/>
      <c r="G6" s="60"/>
      <c r="H6" s="60" t="s">
        <v>67</v>
      </c>
      <c r="I6" s="60"/>
      <c r="J6" s="60"/>
      <c r="K6" s="60"/>
      <c r="L6" s="60"/>
      <c r="M6" s="60"/>
      <c r="N6" s="60"/>
      <c r="O6" s="61" t="s">
        <v>68</v>
      </c>
      <c r="P6" s="61"/>
    </row>
    <row r="7" customFormat="false" ht="13.8" hidden="false" customHeight="false" outlineLevel="0" collapsed="false">
      <c r="A7" s="16" t="s">
        <v>4</v>
      </c>
      <c r="B7" s="16" t="s">
        <v>23</v>
      </c>
      <c r="C7" s="16" t="s">
        <v>69</v>
      </c>
      <c r="D7" s="16" t="s">
        <v>70</v>
      </c>
      <c r="E7" s="16" t="s">
        <v>71</v>
      </c>
      <c r="F7" s="62" t="s">
        <v>72</v>
      </c>
      <c r="G7" s="63" t="s">
        <v>73</v>
      </c>
      <c r="H7" s="16" t="s">
        <v>4</v>
      </c>
      <c r="I7" s="16" t="s">
        <v>23</v>
      </c>
      <c r="J7" s="16" t="s">
        <v>69</v>
      </c>
      <c r="K7" s="16" t="s">
        <v>70</v>
      </c>
      <c r="L7" s="16" t="s">
        <v>71</v>
      </c>
      <c r="M7" s="16" t="s">
        <v>72</v>
      </c>
      <c r="N7" s="64" t="s">
        <v>73</v>
      </c>
      <c r="O7" s="16" t="s">
        <v>4</v>
      </c>
      <c r="P7" s="16" t="s">
        <v>73</v>
      </c>
    </row>
    <row r="8" customFormat="false" ht="13.8" hidden="false" customHeight="false" outlineLevel="0" collapsed="false">
      <c r="A8" s="9" t="n">
        <v>43798</v>
      </c>
      <c r="B8" s="0" t="n">
        <v>10</v>
      </c>
      <c r="C8" s="65" t="n">
        <v>100.285</v>
      </c>
      <c r="D8" s="0" t="n">
        <v>1000</v>
      </c>
      <c r="E8" s="0" t="n">
        <v>95.04</v>
      </c>
      <c r="F8" s="38" t="n">
        <f aca="false">B8*C8/100*D8*(0.0004)</f>
        <v>4.0114</v>
      </c>
      <c r="G8" s="49" t="n">
        <f aca="false">D8*C8/100*B8+F8+E8</f>
        <v>10127.5514</v>
      </c>
      <c r="O8" s="9"/>
    </row>
    <row r="9" customFormat="false" ht="13.8" hidden="false" customHeight="false" outlineLevel="0" collapsed="false">
      <c r="A9" s="9" t="n">
        <v>43798</v>
      </c>
      <c r="D9" s="0" t="n">
        <v>1000</v>
      </c>
      <c r="E9" s="0" t="n">
        <f aca="false">12.82*B9</f>
        <v>0</v>
      </c>
      <c r="F9" s="38" t="n">
        <f aca="false">B9*C9/100*D9*(0.0004)</f>
        <v>0</v>
      </c>
      <c r="G9" s="49" t="n">
        <f aca="false">D9*C9/100*B9+F9+E9</f>
        <v>0</v>
      </c>
      <c r="O9" s="9"/>
    </row>
    <row r="10" customFormat="false" ht="13.8" hidden="false" customHeight="false" outlineLevel="0" collapsed="false">
      <c r="A10" s="9"/>
      <c r="D10" s="0" t="n">
        <v>1000</v>
      </c>
      <c r="E10" s="0" t="n">
        <f aca="false">12.82*B10</f>
        <v>0</v>
      </c>
      <c r="F10" s="38" t="n">
        <f aca="false">B10*C10/100*D10*(0.0004)</f>
        <v>0</v>
      </c>
      <c r="G10" s="49" t="n">
        <f aca="false">D10*C10/100*B10+F10+E10</f>
        <v>0</v>
      </c>
      <c r="O10" s="9"/>
    </row>
  </sheetData>
  <mergeCells count="13">
    <mergeCell ref="A1:B1"/>
    <mergeCell ref="C1:D1"/>
    <mergeCell ref="A2:B2"/>
    <mergeCell ref="C2:D2"/>
    <mergeCell ref="A3:B3"/>
    <mergeCell ref="C3:D3"/>
    <mergeCell ref="A4:B4"/>
    <mergeCell ref="C4:D4"/>
    <mergeCell ref="A5:B5"/>
    <mergeCell ref="C5:D5"/>
    <mergeCell ref="B6:G6"/>
    <mergeCell ref="H6:N6"/>
    <mergeCell ref="O6:P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8" activeCellId="0" sqref="D8"/>
    </sheetView>
  </sheetViews>
  <sheetFormatPr defaultColWidth="10.4921875" defaultRowHeight="13.8" zeroHeight="false" outlineLevelRow="0" outlineLevelCol="0"/>
  <cols>
    <col collapsed="false" customWidth="true" hidden="false" outlineLevel="0" max="1" min="1" style="0" width="12.56"/>
    <col collapsed="false" customWidth="true" hidden="false" outlineLevel="0" max="2" min="2" style="18" width="12.56"/>
    <col collapsed="false" customWidth="true" hidden="false" outlineLevel="0" max="3" min="3" style="65" width="12.56"/>
    <col collapsed="false" customWidth="true" hidden="false" outlineLevel="0" max="4" min="4" style="66" width="12.56"/>
    <col collapsed="false" customWidth="true" hidden="false" outlineLevel="0" max="5" min="5" style="67" width="12.56"/>
    <col collapsed="false" customWidth="true" hidden="false" outlineLevel="0" max="8" min="6" style="0" width="12.56"/>
    <col collapsed="false" customWidth="true" hidden="false" outlineLevel="0" max="9" min="9" style="66" width="12.56"/>
    <col collapsed="false" customWidth="true" hidden="false" outlineLevel="0" max="10" min="10" style="67" width="12.56"/>
    <col collapsed="false" customWidth="true" hidden="false" outlineLevel="0" max="11" min="11" style="0" width="12.56"/>
    <col collapsed="false" customWidth="true" hidden="false" outlineLevel="0" max="12" min="12" style="18" width="12.56"/>
  </cols>
  <sheetData>
    <row r="1" customFormat="false" ht="13.8" hidden="false" customHeight="false" outlineLevel="0" collapsed="false">
      <c r="A1" s="51" t="s">
        <v>62</v>
      </c>
      <c r="B1" s="51"/>
      <c r="C1" s="52" t="n">
        <f aca="false">SUM(E8:E1048576)</f>
        <v>14404.406031</v>
      </c>
      <c r="D1" s="52"/>
      <c r="E1" s="68"/>
      <c r="F1" s="69" t="s">
        <v>74</v>
      </c>
      <c r="G1" s="69"/>
      <c r="H1" s="38" t="n">
        <f aca="false">-C4/(SUM(B8:B1048576)-SUM(G8:G1048576))</f>
        <v>0.514443072535714</v>
      </c>
      <c r="J1" s="68"/>
    </row>
    <row r="2" customFormat="false" ht="13.8" hidden="false" customHeight="false" outlineLevel="0" collapsed="false">
      <c r="A2" s="51" t="s">
        <v>63</v>
      </c>
      <c r="B2" s="51"/>
      <c r="C2" s="52" t="n">
        <f aca="false">SUM(J8:J1048576)</f>
        <v>0</v>
      </c>
      <c r="D2" s="52"/>
      <c r="E2" s="68"/>
      <c r="F2" s="69" t="s">
        <v>75</v>
      </c>
      <c r="G2" s="69"/>
      <c r="H2" s="38" t="n">
        <f aca="false">-C5/(SUM(B8:B1048576)-SUM(G8:G1048576))</f>
        <v>0.514443072535714</v>
      </c>
      <c r="J2" s="68"/>
    </row>
    <row r="3" customFormat="false" ht="13.8" hidden="false" customHeight="false" outlineLevel="0" collapsed="false">
      <c r="A3" s="51" t="s">
        <v>76</v>
      </c>
      <c r="B3" s="51"/>
      <c r="C3" s="52" t="n">
        <f aca="false">SUM(L8:L1048576)</f>
        <v>0</v>
      </c>
      <c r="D3" s="52"/>
      <c r="E3" s="68"/>
      <c r="F3" s="69" t="s">
        <v>77</v>
      </c>
      <c r="G3" s="69"/>
      <c r="H3" s="0" t="n">
        <f aca="false">SUM(B8:B1048576)-SUM(G8:G1048576)</f>
        <v>28000</v>
      </c>
      <c r="J3" s="68"/>
    </row>
    <row r="4" customFormat="false" ht="13.8" hidden="false" customHeight="false" outlineLevel="0" collapsed="false">
      <c r="A4" s="51" t="s">
        <v>2</v>
      </c>
      <c r="B4" s="51"/>
      <c r="C4" s="52" t="n">
        <f aca="false">C2-C1</f>
        <v>-14404.406031</v>
      </c>
      <c r="D4" s="52"/>
      <c r="E4" s="68"/>
      <c r="J4" s="68"/>
    </row>
    <row r="5" customFormat="false" ht="13.8" hidden="false" customHeight="false" outlineLevel="0" collapsed="false">
      <c r="A5" s="51" t="s">
        <v>78</v>
      </c>
      <c r="B5" s="51"/>
      <c r="C5" s="52" t="n">
        <f aca="false">C2+C3-C1</f>
        <v>-14404.406031</v>
      </c>
      <c r="D5" s="52"/>
      <c r="E5" s="68"/>
      <c r="J5" s="68"/>
    </row>
    <row r="6" customFormat="false" ht="13.8" hidden="false" customHeight="false" outlineLevel="0" collapsed="false">
      <c r="A6" s="60" t="s">
        <v>66</v>
      </c>
      <c r="B6" s="60"/>
      <c r="C6" s="60"/>
      <c r="D6" s="60"/>
      <c r="E6" s="60"/>
      <c r="F6" s="60" t="s">
        <v>67</v>
      </c>
      <c r="G6" s="60"/>
      <c r="H6" s="60"/>
      <c r="I6" s="60"/>
      <c r="J6" s="60"/>
      <c r="K6" s="61" t="s">
        <v>79</v>
      </c>
      <c r="L6" s="61"/>
    </row>
    <row r="7" customFormat="false" ht="13.8" hidden="false" customHeight="false" outlineLevel="0" collapsed="false">
      <c r="A7" s="16" t="s">
        <v>4</v>
      </c>
      <c r="B7" s="70" t="s">
        <v>23</v>
      </c>
      <c r="C7" s="71" t="s">
        <v>69</v>
      </c>
      <c r="D7" s="72" t="s">
        <v>72</v>
      </c>
      <c r="E7" s="73" t="s">
        <v>73</v>
      </c>
      <c r="F7" s="16" t="s">
        <v>4</v>
      </c>
      <c r="G7" s="16" t="s">
        <v>23</v>
      </c>
      <c r="H7" s="16" t="s">
        <v>69</v>
      </c>
      <c r="I7" s="72" t="s">
        <v>72</v>
      </c>
      <c r="J7" s="73" t="s">
        <v>73</v>
      </c>
      <c r="K7" s="16" t="s">
        <v>4</v>
      </c>
      <c r="L7" s="70" t="s">
        <v>73</v>
      </c>
    </row>
    <row r="8" customFormat="false" ht="13.8" hidden="false" customHeight="false" outlineLevel="0" collapsed="false">
      <c r="A8" s="9" t="n">
        <v>43745</v>
      </c>
      <c r="B8" s="18" t="n">
        <v>8800</v>
      </c>
      <c r="C8" s="65" t="n">
        <v>0.5087</v>
      </c>
      <c r="D8" s="66" t="n">
        <f aca="false">C8*B8*0.0007</f>
        <v>3.133592</v>
      </c>
      <c r="E8" s="67" t="n">
        <f aca="false">C8*B8+D8</f>
        <v>4479.693592</v>
      </c>
      <c r="F8" s="9"/>
      <c r="I8" s="66" t="n">
        <f aca="false">G8*H8*0.0004</f>
        <v>0</v>
      </c>
      <c r="J8" s="67" t="n">
        <f aca="false">G8*H8-I8</f>
        <v>0</v>
      </c>
      <c r="K8" s="9"/>
    </row>
    <row r="9" customFormat="false" ht="13.8" hidden="false" customHeight="false" outlineLevel="0" collapsed="false">
      <c r="A9" s="9" t="n">
        <v>43745</v>
      </c>
      <c r="B9" s="18" t="n">
        <v>1000</v>
      </c>
      <c r="C9" s="65" t="n">
        <v>0.5087</v>
      </c>
      <c r="D9" s="66" t="n">
        <f aca="false">C9*B9*0.0007</f>
        <v>0.35609</v>
      </c>
      <c r="E9" s="67" t="n">
        <f aca="false">C9*B9+D9</f>
        <v>509.05609</v>
      </c>
      <c r="F9" s="9"/>
      <c r="K9" s="9"/>
    </row>
    <row r="10" customFormat="false" ht="13.8" hidden="false" customHeight="false" outlineLevel="0" collapsed="false">
      <c r="A10" s="9" t="n">
        <v>43745</v>
      </c>
      <c r="B10" s="18" t="n">
        <v>4900</v>
      </c>
      <c r="C10" s="65" t="n">
        <v>0.5087</v>
      </c>
      <c r="D10" s="66" t="n">
        <f aca="false">C10*B10*0.0007</f>
        <v>1.744841</v>
      </c>
      <c r="E10" s="67" t="n">
        <f aca="false">C10*B10+D10</f>
        <v>2494.374841</v>
      </c>
      <c r="F10" s="9"/>
      <c r="K10" s="9"/>
    </row>
    <row r="11" customFormat="false" ht="13.8" hidden="false" customHeight="false" outlineLevel="0" collapsed="false">
      <c r="A11" s="9" t="n">
        <v>43745</v>
      </c>
      <c r="B11" s="18" t="n">
        <v>7300</v>
      </c>
      <c r="C11" s="65" t="n">
        <v>0.5088</v>
      </c>
      <c r="D11" s="66" t="n">
        <f aca="false">C11*B11*0.0007</f>
        <v>2.599968</v>
      </c>
      <c r="E11" s="67" t="n">
        <f aca="false">C11*B11+D11</f>
        <v>3716.839968</v>
      </c>
      <c r="K11" s="9"/>
    </row>
    <row r="12" customFormat="false" ht="13.8" hidden="false" customHeight="false" outlineLevel="0" collapsed="false">
      <c r="A12" s="9" t="n">
        <v>43797</v>
      </c>
      <c r="B12" s="18" t="n">
        <v>6000</v>
      </c>
      <c r="C12" s="65" t="n">
        <v>0.5337</v>
      </c>
      <c r="D12" s="66" t="n">
        <f aca="false">C12*B12*0.0007</f>
        <v>2.24154</v>
      </c>
      <c r="E12" s="67" t="n">
        <f aca="false">C12*B12+D12</f>
        <v>3204.44154</v>
      </c>
      <c r="K12" s="9"/>
    </row>
    <row r="13" customFormat="false" ht="13.8" hidden="false" customHeight="false" outlineLevel="0" collapsed="false">
      <c r="A13" s="9"/>
      <c r="D13" s="66" t="n">
        <f aca="false">C13*B13*0.0007</f>
        <v>0</v>
      </c>
      <c r="E13" s="67" t="n">
        <f aca="false">C13*B13+D13</f>
        <v>0</v>
      </c>
      <c r="K13" s="9"/>
    </row>
    <row r="14" customFormat="false" ht="13.8" hidden="false" customHeight="false" outlineLevel="0" collapsed="false">
      <c r="A14" s="9"/>
      <c r="D14" s="66" t="n">
        <f aca="false">C14*B14*0.0007</f>
        <v>0</v>
      </c>
      <c r="E14" s="67" t="n">
        <f aca="false">C14*B14+D14</f>
        <v>0</v>
      </c>
      <c r="K14" s="9"/>
    </row>
    <row r="15" customFormat="false" ht="13.8" hidden="false" customHeight="false" outlineLevel="0" collapsed="false">
      <c r="A15" s="9"/>
      <c r="D15" s="66" t="n">
        <f aca="false">C15*B15*0.0007</f>
        <v>0</v>
      </c>
      <c r="E15" s="67" t="n">
        <f aca="false">C15*B15+D15</f>
        <v>0</v>
      </c>
      <c r="K15" s="9"/>
    </row>
    <row r="16" customFormat="false" ht="13.8" hidden="false" customHeight="false" outlineLevel="0" collapsed="false">
      <c r="A16" s="9"/>
      <c r="D16" s="66" t="n">
        <f aca="false">C16*B16*0.0007</f>
        <v>0</v>
      </c>
      <c r="E16" s="67" t="n">
        <f aca="false">C16*B16+D16</f>
        <v>0</v>
      </c>
      <c r="K16" s="9"/>
    </row>
    <row r="17" customFormat="false" ht="13.8" hidden="false" customHeight="false" outlineLevel="0" collapsed="false">
      <c r="A17" s="9"/>
      <c r="D17" s="66" t="n">
        <f aca="false">C17*B17*0.0007</f>
        <v>0</v>
      </c>
      <c r="E17" s="67" t="n">
        <f aca="false">C17*B17+D17</f>
        <v>0</v>
      </c>
    </row>
    <row r="18" customFormat="false" ht="13.8" hidden="false" customHeight="false" outlineLevel="0" collapsed="false">
      <c r="A18" s="9"/>
      <c r="D18" s="66" t="n">
        <f aca="false">C18*B18*0.0007</f>
        <v>0</v>
      </c>
      <c r="E18" s="67" t="n">
        <f aca="false">C18*B18+D18</f>
        <v>0</v>
      </c>
    </row>
    <row r="19" customFormat="false" ht="13.8" hidden="false" customHeight="false" outlineLevel="0" collapsed="false">
      <c r="A19" s="9"/>
      <c r="D19" s="66" t="n">
        <f aca="false">C19*B19*0.0007</f>
        <v>0</v>
      </c>
      <c r="E19" s="67" t="n">
        <f aca="false">C19*B19+D19</f>
        <v>0</v>
      </c>
    </row>
    <row r="20" customFormat="false" ht="13.8" hidden="false" customHeight="false" outlineLevel="0" collapsed="false">
      <c r="A20" s="9"/>
      <c r="B20" s="0"/>
      <c r="D20" s="66" t="n">
        <f aca="false">C20*B20*0.0007</f>
        <v>0</v>
      </c>
      <c r="E20" s="67" t="n">
        <f aca="false">C20*B20+D20</f>
        <v>0</v>
      </c>
    </row>
    <row r="21" customFormat="false" ht="13.8" hidden="false" customHeight="false" outlineLevel="0" collapsed="false">
      <c r="A21" s="9"/>
      <c r="D21" s="66" t="n">
        <f aca="false">C21*B21*0.0007</f>
        <v>0</v>
      </c>
      <c r="E21" s="67" t="n">
        <f aca="false">C21*B21+D21</f>
        <v>0</v>
      </c>
    </row>
    <row r="22" customFormat="false" ht="13.8" hidden="false" customHeight="false" outlineLevel="0" collapsed="false">
      <c r="A22" s="9"/>
      <c r="D22" s="66" t="n">
        <f aca="false">C22*B22*0.0007</f>
        <v>0</v>
      </c>
      <c r="E22" s="67" t="n">
        <f aca="false">C22*B22+D22</f>
        <v>0</v>
      </c>
    </row>
    <row r="23" customFormat="false" ht="13.8" hidden="false" customHeight="false" outlineLevel="0" collapsed="false">
      <c r="A23" s="9"/>
      <c r="D23" s="66" t="n">
        <f aca="false">C23*B23*0.0007</f>
        <v>0</v>
      </c>
      <c r="E23" s="67" t="n">
        <f aca="false">C23*B23+D23</f>
        <v>0</v>
      </c>
    </row>
    <row r="24" customFormat="false" ht="13.8" hidden="false" customHeight="false" outlineLevel="0" collapsed="false">
      <c r="A24" s="9"/>
      <c r="D24" s="66" t="n">
        <f aca="false">C24*B24*0.0007</f>
        <v>0</v>
      </c>
      <c r="E24" s="67" t="n">
        <f aca="false">C24*B24+D24</f>
        <v>0</v>
      </c>
    </row>
    <row r="25" customFormat="false" ht="13.8" hidden="false" customHeight="false" outlineLevel="0" collapsed="false">
      <c r="A25" s="9"/>
      <c r="D25" s="66" t="n">
        <f aca="false">C25*B25*0.0007</f>
        <v>0</v>
      </c>
      <c r="E25" s="67" t="n">
        <f aca="false">C25*B25+D25</f>
        <v>0</v>
      </c>
    </row>
    <row r="26" customFormat="false" ht="13.8" hidden="false" customHeight="false" outlineLevel="0" collapsed="false">
      <c r="A26" s="9"/>
      <c r="D26" s="66" t="n">
        <f aca="false">C26*B26*0.0007</f>
        <v>0</v>
      </c>
      <c r="E26" s="67" t="n">
        <f aca="false">C26*B26+D26</f>
        <v>0</v>
      </c>
    </row>
    <row r="27" customFormat="false" ht="13.8" hidden="false" customHeight="false" outlineLevel="0" collapsed="false">
      <c r="A27" s="9"/>
      <c r="D27" s="66" t="n">
        <f aca="false">C27*B27*0.0007</f>
        <v>0</v>
      </c>
      <c r="E27" s="67" t="n">
        <f aca="false">C27*B27+D27</f>
        <v>0</v>
      </c>
    </row>
    <row r="28" customFormat="false" ht="13.8" hidden="false" customHeight="false" outlineLevel="0" collapsed="false">
      <c r="A28" s="9"/>
      <c r="D28" s="66" t="n">
        <f aca="false">C28*B28*0.0007</f>
        <v>0</v>
      </c>
      <c r="E28" s="67" t="n">
        <f aca="false">C28*B28+D28</f>
        <v>0</v>
      </c>
    </row>
    <row r="29" customFormat="false" ht="13.8" hidden="false" customHeight="false" outlineLevel="0" collapsed="false">
      <c r="A29" s="9"/>
      <c r="D29" s="66" t="n">
        <f aca="false">C29*B29*0.0007</f>
        <v>0</v>
      </c>
      <c r="E29" s="67" t="n">
        <f aca="false">C29*B29+D29</f>
        <v>0</v>
      </c>
    </row>
    <row r="30" customFormat="false" ht="13.8" hidden="false" customHeight="false" outlineLevel="0" collapsed="false">
      <c r="A30" s="9"/>
      <c r="D30" s="66" t="n">
        <f aca="false">C30*B30*0.0007</f>
        <v>0</v>
      </c>
      <c r="E30" s="67" t="n">
        <f aca="false">C30*B30+D30</f>
        <v>0</v>
      </c>
    </row>
    <row r="31" customFormat="false" ht="13.8" hidden="false" customHeight="false" outlineLevel="0" collapsed="false">
      <c r="A31" s="9"/>
      <c r="D31" s="66" t="n">
        <f aca="false">C31*B31*0.0007</f>
        <v>0</v>
      </c>
      <c r="E31" s="67" t="n">
        <f aca="false">C31*B31+D31</f>
        <v>0</v>
      </c>
    </row>
  </sheetData>
  <mergeCells count="16">
    <mergeCell ref="A1:B1"/>
    <mergeCell ref="C1:D1"/>
    <mergeCell ref="F1:G1"/>
    <mergeCell ref="A2:B2"/>
    <mergeCell ref="C2:D2"/>
    <mergeCell ref="F2:G2"/>
    <mergeCell ref="A3:B3"/>
    <mergeCell ref="C3:D3"/>
    <mergeCell ref="F3:G3"/>
    <mergeCell ref="A4:B4"/>
    <mergeCell ref="C4:D4"/>
    <mergeCell ref="A5:B5"/>
    <mergeCell ref="C5:D5"/>
    <mergeCell ref="A6:E6"/>
    <mergeCell ref="F6:J6"/>
    <mergeCell ref="K6:L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3147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2007-09-01T14:27:09Z</dcterms:created>
  <dc:creator/>
  <dc:description/>
  <dc:language>ru-RU</dc:language>
  <cp:lastModifiedBy/>
  <dcterms:modified xsi:type="dcterms:W3CDTF">2019-12-04T11:59:33Z</dcterms:modified>
  <cp:revision>1191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